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90" activeTab="3"/>
  </bookViews>
  <sheets>
    <sheet name="Online" sheetId="1" r:id="rId1"/>
    <sheet name="TV" sheetId="2" r:id="rId2"/>
    <sheet name="Print" sheetId="3" r:id="rId3"/>
    <sheet name="Radio" sheetId="4" r:id="rId4"/>
  </sheets>
  <definedNames>
    <definedName name="_xlnm._FilterDatabase" localSheetId="0" hidden="1">'Online'!$B$2:$J$10</definedName>
  </definedNames>
  <calcPr fullCalcOnLoad="1"/>
</workbook>
</file>

<file path=xl/sharedStrings.xml><?xml version="1.0" encoding="utf-8"?>
<sst xmlns="http://schemas.openxmlformats.org/spreadsheetml/2006/main" count="148" uniqueCount="111">
  <si>
    <t>Candidate names</t>
  </si>
  <si>
    <t>Story evaluated</t>
  </si>
  <si>
    <t>S/N</t>
  </si>
  <si>
    <t>Total/50</t>
  </si>
  <si>
    <t>Mugisha Jonah Michael</t>
  </si>
  <si>
    <t>Family Magazine</t>
  </si>
  <si>
    <t>Igihe.com</t>
  </si>
  <si>
    <t>Human centered /5</t>
  </si>
  <si>
    <t>Impact on improving people /10</t>
  </si>
  <si>
    <t>Depth of content /5</t>
  </si>
  <si>
    <t>Accuracy of data /10</t>
  </si>
  <si>
    <t>Rusizi: Ibyiciro by'ubudehe</t>
  </si>
  <si>
    <t>Bwiza.com</t>
  </si>
  <si>
    <t>1) VUP na ruswa</t>
  </si>
  <si>
    <t>2) Abanyamadini no gufunga insengero</t>
  </si>
  <si>
    <t>3) Umwarimu SACCO</t>
  </si>
  <si>
    <t>4) Imirenge SACCO yaribwe</t>
  </si>
  <si>
    <t>1) Contraceptives challenged…</t>
  </si>
  <si>
    <t>2) Impact of non use of 
contraceptives...</t>
  </si>
  <si>
    <t>Professionalism 
/10</t>
  </si>
  <si>
    <t>Data 
presentation /10</t>
  </si>
  <si>
    <t>1) Tantalum Summit</t>
  </si>
  <si>
    <t>2) Rwanda's economy growth</t>
  </si>
  <si>
    <t>3) Bank of Kigali</t>
  </si>
  <si>
    <t>4) Africa's economy 
vs free trade area</t>
  </si>
  <si>
    <t>U Rwanda rugeze he mu cyerekezo 
2020 gisigaje imyaka ibiri?</t>
  </si>
  <si>
    <t>BIZIMUNGU Julius</t>
  </si>
  <si>
    <t>The New Times</t>
  </si>
  <si>
    <t>1) What the China-Africa $ 60 billion 
deal promises</t>
  </si>
  <si>
    <t>2) Central Bank holds key lending rate 
at 5.5 per cent</t>
  </si>
  <si>
    <t>3) Top six sources of FDIs to 
Rwanda in 2017 revealed</t>
  </si>
  <si>
    <t>4) $ 630 million earmarked for UN 
assistance programme in Rwanda</t>
  </si>
  <si>
    <t>KWIBUKA Eugene</t>
  </si>
  <si>
    <t>1) Economy expands by 6.7% in 
2nd quarter</t>
  </si>
  <si>
    <t>2) Premier calls for more tax 
compliance for self-reliance</t>
  </si>
  <si>
    <t>3) Rwanda's Sovereign Fund Agaciro 
grows to over RWF 52 bn</t>
  </si>
  <si>
    <t>4) Eligible applicants for Vision City 
apartments to be announced this month</t>
  </si>
  <si>
    <t>NIWEMWIZA Anne Marie</t>
  </si>
  <si>
    <t>Total /50</t>
  </si>
  <si>
    <t>1) Gusambanya abana</t>
  </si>
  <si>
    <t>2) Inguzanyo z'abanyeshuri na BRD</t>
  </si>
  <si>
    <t>KT Radio</t>
  </si>
  <si>
    <t>3) 46% by'abagore bakoreshwa 
imibonano mpuzabitsina ku gahato</t>
  </si>
  <si>
    <t>MUTESI Scovia</t>
  </si>
  <si>
    <t>1) Hagiye gukorwa ubushakashatsi mu 
kumenya uko virusi ya Sida ihagaze mu Rwanda</t>
  </si>
  <si>
    <t xml:space="preserve"> MAMAURWAGASABO.rw</t>
  </si>
  <si>
    <t>2) Minisitiri w'Intebe yahaye umukoro 
RRA wo kufasha u Rwanda kwihaza mu ngengo y'imari</t>
  </si>
  <si>
    <t>MUKAGAHIZI Rose</t>
  </si>
  <si>
    <t>Imvaho Nshya</t>
  </si>
  <si>
    <t>1) 84% by'Abanyarwanda batuye 
mu cyaro - NISR</t>
  </si>
  <si>
    <t>2) 2024 abakoresha ingufu ziturutse ku mirasire y'izuba bazagera kuri 48%</t>
  </si>
  <si>
    <t>RWANYANGE Rene 
Anthere</t>
  </si>
  <si>
    <t>Panorama</t>
  </si>
  <si>
    <t>1) Abakandida bigenga bane nibo 
bemejwe kuzahatanira kwinjira mu Nteko</t>
  </si>
  <si>
    <t>2) Icyiciro cy'abafite ubumuga cyabaye 
nta makemwa ku rutonde rw'agateganyo rw'abakandida depite</t>
  </si>
  <si>
    <t>3) Musanze: Urubyiruko nirwo 
rugaragara mu bwandu bushya bwa Virusi itera SIDA</t>
  </si>
  <si>
    <t>4) Hatahuwe imiti ikoreshwa mu buhinzi 
n'ubworozi ituzuje ubuziranenge</t>
  </si>
  <si>
    <t>MUNYENTWALI Jerome</t>
  </si>
  <si>
    <t>TheProfile.rw</t>
  </si>
  <si>
    <t>Abanyarwanda basaga miliyoni 4,5 
batunze Radiyo, bagezweho n'inyungu z'ikinamico "Umurage"</t>
  </si>
  <si>
    <t>UMURERWA Emma-Marie</t>
  </si>
  <si>
    <t>TUMWESIGIRE Hillary Peace</t>
  </si>
  <si>
    <t>KAYIRANGA Melchior</t>
  </si>
  <si>
    <t>NSENGIMANA Evariste</t>
  </si>
  <si>
    <t>MUTUNGIREHE Samuel</t>
  </si>
  <si>
    <t>1) Mu 2020 umuryango umwe uzaba 
ubarirwa abana 3.4</t>
  </si>
  <si>
    <t>2) 2024: Amabuye azaba yinjiriza 
u Rwanda amadolari miliyari 1,5</t>
  </si>
  <si>
    <t>3) 67,5% by'ingengo y'imari 
2018/2019 bizava imbere mu gihugu</t>
  </si>
  <si>
    <t>HABUMUREMYI Viateur</t>
  </si>
  <si>
    <t>mwambanews.com</t>
  </si>
  <si>
    <t>1) Abahungu 59.5% barakubitwa naho 
abakobwa 23.9% bakorerwa ihohoterwa rishingiye ku gitsina</t>
  </si>
  <si>
    <t>2) AHF Rwanda freely gives 13,340 
condoms to fans at a football match</t>
  </si>
  <si>
    <t>3) Golf: Nsanzuwera Celestin yatsindiye
 ibikoresho bihenze "CIMEGolf Tournament 2018"</t>
  </si>
  <si>
    <t>4) Availing free condoms to urban 
dwellers will reduce HIV/AIDS at Zero percent, AHF-Rwanda</t>
  </si>
  <si>
    <t>MANIRAGUHA Ferdinand</t>
  </si>
  <si>
    <t>1) Ibyo wamenya ku Nteko Ishinga 
Amategeko nshya y'u Rwanda</t>
  </si>
  <si>
    <t>2) Ubwiyongere bw'abaturage: Mu mezi
 arindwi havutse abana barenga ibihumbi 160</t>
  </si>
  <si>
    <t>NIYOMWUNGERI Cyprien</t>
  </si>
  <si>
    <t>Amazina akomeye mu by'amahoteli ku 
isi akomeje kwinjira ku isoko ry'u Rwanda</t>
  </si>
  <si>
    <t>BYANSI Samuel Baker</t>
  </si>
  <si>
    <t>rwandainspirer.com</t>
  </si>
  <si>
    <t>1) Poor diagnosis driving drug resistant 
TB deaths</t>
  </si>
  <si>
    <t>3) Ebola, the Democratic Republic of 
Congo burden</t>
  </si>
  <si>
    <t>4) Water crisis, African problem</t>
  </si>
  <si>
    <t>MUHINDE Jejje</t>
  </si>
  <si>
    <t>irwanda24.com</t>
  </si>
  <si>
    <t>1) Active mobile telephone subscriptions
 slightly rise by 1.26 percent</t>
  </si>
  <si>
    <t>MUKOBWAJANA Assiati</t>
  </si>
  <si>
    <t>Isango Star</t>
  </si>
  <si>
    <t>1) Kuvanga umutungo mu gihe cyo gusezerana</t>
  </si>
  <si>
    <t>2) Ubushakashatsi kuri ruswa - 
Transparency International Rwanda</t>
  </si>
  <si>
    <t>UMWALI Gyslene</t>
  </si>
  <si>
    <t>Inama mpuzamahanga kuri Coltan</t>
  </si>
  <si>
    <t>City Radio</t>
  </si>
  <si>
    <t>2) Economy grows by 6.7 percent in Q2</t>
  </si>
  <si>
    <t>3) Cassava production increased by 9 
percent this month</t>
  </si>
  <si>
    <t>HIGIRO Adolphe</t>
  </si>
  <si>
    <t>paxpress.rw</t>
  </si>
  <si>
    <t>Ikibazo cy'abana baterwa inda 
zitateganyijwe gikomeje gufata indi ntera</t>
  </si>
  <si>
    <t>NTIRENGANYA 
Emmanuel</t>
  </si>
  <si>
    <t>How RSSB managed small 
contributions for a sustainable pension scheme</t>
  </si>
  <si>
    <t>PALUKU RENE</t>
  </si>
  <si>
    <t>Imiyoborere</t>
  </si>
  <si>
    <t>3) MINAGRI: Abanyarwanda 81% barihagije mu biribwa</t>
  </si>
  <si>
    <t>4) Wari uzi ko Abanyarwanda 41% bafite munsi y’imyaka 15?</t>
  </si>
  <si>
    <t>2) HIV infections declines owing 
the success to Free Condom Kiosks</t>
  </si>
  <si>
    <t>Second</t>
  </si>
  <si>
    <t>First</t>
  </si>
  <si>
    <t>Third</t>
  </si>
  <si>
    <t>Disqualified. Story featuring Eugene Anangwe</t>
  </si>
  <si>
    <t>Winning story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</si>
</sst>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2C2F3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19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right"/>
    </xf>
    <xf numFmtId="0" fontId="44" fillId="0" borderId="10" xfId="0" applyFont="1" applyBorder="1" applyAlignment="1">
      <alignment wrapText="1"/>
    </xf>
    <xf numFmtId="0" fontId="4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right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2" fillId="0" borderId="13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6" fillId="0" borderId="13" xfId="0" applyFont="1" applyBorder="1" applyAlignment="1">
      <alignment horizontal="right" vertical="top"/>
    </xf>
    <xf numFmtId="0" fontId="46" fillId="0" borderId="12" xfId="0" applyFont="1" applyBorder="1" applyAlignment="1">
      <alignment horizontal="right" vertical="top"/>
    </xf>
    <xf numFmtId="0" fontId="44" fillId="0" borderId="11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19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wrapText="1"/>
    </xf>
    <xf numFmtId="0" fontId="45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5" fillId="0" borderId="0" xfId="0" applyFont="1" applyAlignment="1">
      <alignment horizontal="center"/>
    </xf>
    <xf numFmtId="0" fontId="44" fillId="0" borderId="16" xfId="0" applyFont="1" applyBorder="1" applyAlignment="1">
      <alignment/>
    </xf>
    <xf numFmtId="0" fontId="46" fillId="0" borderId="14" xfId="0" applyFont="1" applyBorder="1" applyAlignment="1">
      <alignment horizontal="right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 wrapText="1"/>
    </xf>
    <xf numFmtId="0" fontId="44" fillId="0" borderId="20" xfId="0" applyFont="1" applyBorder="1" applyAlignment="1">
      <alignment vertical="top" wrapText="1"/>
    </xf>
    <xf numFmtId="182" fontId="45" fillId="0" borderId="10" xfId="0" applyNumberFormat="1" applyFont="1" applyBorder="1" applyAlignment="1">
      <alignment horizontal="center" vertical="center"/>
    </xf>
    <xf numFmtId="182" fontId="45" fillId="0" borderId="11" xfId="0" applyNumberFormat="1" applyFont="1" applyBorder="1" applyAlignment="1">
      <alignment horizontal="center" vertical="center"/>
    </xf>
    <xf numFmtId="182" fontId="45" fillId="0" borderId="12" xfId="0" applyNumberFormat="1" applyFont="1" applyBorder="1" applyAlignment="1">
      <alignment horizontal="center" vertical="center"/>
    </xf>
    <xf numFmtId="182" fontId="44" fillId="0" borderId="10" xfId="0" applyNumberFormat="1" applyFont="1" applyBorder="1" applyAlignment="1">
      <alignment horizontal="center"/>
    </xf>
    <xf numFmtId="182" fontId="45" fillId="0" borderId="10" xfId="0" applyNumberFormat="1" applyFont="1" applyBorder="1" applyAlignment="1">
      <alignment horizontal="center"/>
    </xf>
    <xf numFmtId="182" fontId="44" fillId="0" borderId="12" xfId="0" applyNumberFormat="1" applyFont="1" applyBorder="1" applyAlignment="1">
      <alignment horizontal="center" vertical="center"/>
    </xf>
    <xf numFmtId="182" fontId="45" fillId="13" borderId="10" xfId="0" applyNumberFormat="1" applyFont="1" applyFill="1" applyBorder="1" applyAlignment="1">
      <alignment horizontal="center" vertical="center"/>
    </xf>
    <xf numFmtId="182" fontId="45" fillId="13" borderId="11" xfId="0" applyNumberFormat="1" applyFont="1" applyFill="1" applyBorder="1" applyAlignment="1">
      <alignment horizontal="center" vertical="center"/>
    </xf>
    <xf numFmtId="182" fontId="45" fillId="0" borderId="16" xfId="0" applyNumberFormat="1" applyFont="1" applyBorder="1" applyAlignment="1">
      <alignment horizontal="center" vertical="center"/>
    </xf>
    <xf numFmtId="182" fontId="45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82" fontId="44" fillId="13" borderId="10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/>
    </xf>
    <xf numFmtId="182" fontId="45" fillId="33" borderId="11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wrapText="1"/>
    </xf>
    <xf numFmtId="182" fontId="45" fillId="34" borderId="10" xfId="0" applyNumberFormat="1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vertical="center"/>
    </xf>
    <xf numFmtId="0" fontId="44" fillId="35" borderId="11" xfId="0" applyFont="1" applyFill="1" applyBorder="1" applyAlignment="1">
      <alignment wrapText="1"/>
    </xf>
    <xf numFmtId="182" fontId="45" fillId="35" borderId="11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182" fontId="45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/>
    </xf>
    <xf numFmtId="182" fontId="44" fillId="34" borderId="10" xfId="0" applyNumberFormat="1" applyFont="1" applyFill="1" applyBorder="1" applyAlignment="1">
      <alignment horizontal="center"/>
    </xf>
    <xf numFmtId="182" fontId="45" fillId="34" borderId="10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vertic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horizontal="left" vertical="top"/>
    </xf>
    <xf numFmtId="0" fontId="45" fillId="0" borderId="10" xfId="0" applyFont="1" applyBorder="1" applyAlignment="1">
      <alignment horizontal="right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zoomScale="90" zoomScaleNormal="90" zoomScalePageLayoutView="0" workbookViewId="0" topLeftCell="A25">
      <selection activeCell="L35" sqref="L35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37.28125" style="0" customWidth="1"/>
    <col min="4" max="4" width="17.28125" style="0" customWidth="1"/>
    <col min="5" max="5" width="13.140625" style="0" customWidth="1"/>
    <col min="6" max="6" width="17.8515625" style="0" customWidth="1"/>
    <col min="7" max="7" width="12.421875" style="0" customWidth="1"/>
    <col min="8" max="8" width="19.28125" style="0" customWidth="1"/>
    <col min="9" max="9" width="12.7109375" style="0" customWidth="1"/>
    <col min="10" max="10" width="10.7109375" style="0" customWidth="1"/>
  </cols>
  <sheetData>
    <row r="1" ht="3.75" customHeight="1"/>
    <row r="2" spans="1:10" ht="47.25" customHeight="1">
      <c r="A2" s="24" t="s">
        <v>2</v>
      </c>
      <c r="B2" s="19" t="s">
        <v>0</v>
      </c>
      <c r="C2" s="16" t="s">
        <v>1</v>
      </c>
      <c r="D2" s="17" t="s">
        <v>20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8" t="s">
        <v>3</v>
      </c>
    </row>
    <row r="3" spans="1:10" ht="19.5" customHeight="1">
      <c r="A3" s="25">
        <v>1</v>
      </c>
      <c r="B3" s="7" t="s">
        <v>61</v>
      </c>
      <c r="C3" s="4" t="s">
        <v>17</v>
      </c>
      <c r="D3" s="70">
        <f>(5+1+4+6)/4</f>
        <v>4</v>
      </c>
      <c r="E3" s="70">
        <f>(4+3+5+5)/4</f>
        <v>4.25</v>
      </c>
      <c r="F3" s="70">
        <f>(6+6+6+6)/4</f>
        <v>6</v>
      </c>
      <c r="G3" s="70">
        <f>(2+2+3+3)/4</f>
        <v>2.5</v>
      </c>
      <c r="H3" s="70">
        <f>(6+6+5+5)/4</f>
        <v>5.5</v>
      </c>
      <c r="I3" s="70">
        <f>(4+4+2+5)/4</f>
        <v>3.75</v>
      </c>
      <c r="J3" s="70">
        <f>SUM(D3:I3)</f>
        <v>26</v>
      </c>
    </row>
    <row r="4" spans="1:10" ht="33.75" customHeight="1">
      <c r="A4" s="26"/>
      <c r="B4" s="29" t="s">
        <v>5</v>
      </c>
      <c r="C4" s="9" t="s">
        <v>18</v>
      </c>
      <c r="D4" s="66">
        <f>(4+3+7+6)/4</f>
        <v>5</v>
      </c>
      <c r="E4" s="66">
        <f>(4+3+5+4)/4</f>
        <v>4</v>
      </c>
      <c r="F4" s="66">
        <f>(5+5+4+6)/4</f>
        <v>5</v>
      </c>
      <c r="G4" s="66">
        <f>(3+2+2+2)/4</f>
        <v>2.25</v>
      </c>
      <c r="H4" s="66">
        <f>(6+6+4+5)/4</f>
        <v>5.25</v>
      </c>
      <c r="I4" s="66">
        <f>(6+7+7+5)/4</f>
        <v>6.25</v>
      </c>
      <c r="J4" s="66">
        <f>SUM(E4:I4)</f>
        <v>22.75</v>
      </c>
    </row>
    <row r="5" spans="1:10" ht="15">
      <c r="A5" s="25">
        <v>2</v>
      </c>
      <c r="B5" s="10" t="s">
        <v>60</v>
      </c>
      <c r="C5" s="4" t="s">
        <v>13</v>
      </c>
      <c r="D5" s="66">
        <f>(7+3+6+8)/4</f>
        <v>6</v>
      </c>
      <c r="E5" s="66">
        <f>(4+3+5+4)/4</f>
        <v>4</v>
      </c>
      <c r="F5" s="66">
        <f>(6+6+8+8)/4</f>
        <v>7</v>
      </c>
      <c r="G5" s="66">
        <f>(4+3+4+4)/4</f>
        <v>3.75</v>
      </c>
      <c r="H5" s="66">
        <f>(7+6+7+8)/4</f>
        <v>7</v>
      </c>
      <c r="I5" s="66">
        <f>(7+6+6+8)/4</f>
        <v>6.75</v>
      </c>
      <c r="J5" s="66">
        <f>SUM(D5:I5)</f>
        <v>34.5</v>
      </c>
    </row>
    <row r="6" spans="1:10" ht="15">
      <c r="A6" s="39"/>
      <c r="B6" s="28" t="s">
        <v>6</v>
      </c>
      <c r="C6" s="4" t="s">
        <v>14</v>
      </c>
      <c r="D6" s="66">
        <f>(6+2+5+4)/4</f>
        <v>4.25</v>
      </c>
      <c r="E6" s="66">
        <f>(4+3+5+2)/4</f>
        <v>3.5</v>
      </c>
      <c r="F6" s="66">
        <f>(6+5+3+4)/4</f>
        <v>4.5</v>
      </c>
      <c r="G6" s="66">
        <f>(4+2+1+2)/4</f>
        <v>2.25</v>
      </c>
      <c r="H6" s="66">
        <f>(6+5+3+4)/4</f>
        <v>4.5</v>
      </c>
      <c r="I6" s="66">
        <f>(7+6+5+4)/4</f>
        <v>5.5</v>
      </c>
      <c r="J6" s="66">
        <f>SUM(E6:I6)</f>
        <v>20.25</v>
      </c>
    </row>
    <row r="7" spans="1:10" ht="15">
      <c r="A7" s="39"/>
      <c r="B7" s="12"/>
      <c r="C7" s="4" t="s">
        <v>15</v>
      </c>
      <c r="D7" s="66">
        <f>(6+2+5+7)/4</f>
        <v>5</v>
      </c>
      <c r="E7" s="66">
        <f>(4+3+5+4)/4</f>
        <v>4</v>
      </c>
      <c r="F7" s="66">
        <f>(6+6+5+7)/4</f>
        <v>6</v>
      </c>
      <c r="G7" s="66">
        <f>(4+2+2+3)/4</f>
        <v>2.75</v>
      </c>
      <c r="H7" s="66">
        <f>(6+6+5+7)/4</f>
        <v>6</v>
      </c>
      <c r="I7" s="66">
        <f>(6+5+4+7)/4</f>
        <v>5.5</v>
      </c>
      <c r="J7" s="66">
        <f>SUM(D7:I7)</f>
        <v>29.25</v>
      </c>
    </row>
    <row r="8" spans="1:10" ht="15">
      <c r="A8" s="26"/>
      <c r="B8" s="13"/>
      <c r="C8" s="4" t="s">
        <v>16</v>
      </c>
      <c r="D8" s="66">
        <f>(6+3+6+6)/4</f>
        <v>5.25</v>
      </c>
      <c r="E8" s="66">
        <f>(4+3+5+2)/4</f>
        <v>3.5</v>
      </c>
      <c r="F8" s="66">
        <f>(6+7+4+7)/4</f>
        <v>6</v>
      </c>
      <c r="G8" s="66">
        <f>(4+2+4+4)/4</f>
        <v>3.5</v>
      </c>
      <c r="H8" s="66">
        <f>(6+6+6+6)/4</f>
        <v>6</v>
      </c>
      <c r="I8" s="66">
        <f>(6+6+4+5)/4</f>
        <v>5.25</v>
      </c>
      <c r="J8" s="66">
        <f>SUM(D8:I8)</f>
        <v>29.5</v>
      </c>
    </row>
    <row r="9" spans="1:11" ht="15">
      <c r="A9" s="78">
        <v>3</v>
      </c>
      <c r="B9" s="79" t="s">
        <v>62</v>
      </c>
      <c r="C9" s="80" t="s">
        <v>11</v>
      </c>
      <c r="D9" s="81">
        <f>(7+4+8+9)/4</f>
        <v>7</v>
      </c>
      <c r="E9" s="81">
        <f>(4+4+5+5)/4</f>
        <v>4.5</v>
      </c>
      <c r="F9" s="81">
        <f>(7+7+8+10)/4</f>
        <v>8</v>
      </c>
      <c r="G9" s="81">
        <f>(4+4+4+5)/4</f>
        <v>4.25</v>
      </c>
      <c r="H9" s="81">
        <f>(7+7+7+9)/4</f>
        <v>7.5</v>
      </c>
      <c r="I9" s="81">
        <f>(7+8+9+5)/4</f>
        <v>7.25</v>
      </c>
      <c r="J9" s="81">
        <f>SUM(D9:I9)</f>
        <v>38.5</v>
      </c>
      <c r="K9" t="s">
        <v>107</v>
      </c>
    </row>
    <row r="10" spans="1:10" ht="15">
      <c r="A10" s="26"/>
      <c r="B10" s="8" t="s">
        <v>12</v>
      </c>
      <c r="C10" s="15"/>
      <c r="D10" s="68"/>
      <c r="E10" s="68"/>
      <c r="F10" s="68"/>
      <c r="G10" s="68"/>
      <c r="H10" s="68"/>
      <c r="I10" s="68"/>
      <c r="J10" s="68"/>
    </row>
    <row r="11" spans="1:10" ht="30.75">
      <c r="A11" s="37">
        <v>4</v>
      </c>
      <c r="B11" s="21" t="s">
        <v>63</v>
      </c>
      <c r="C11" s="30" t="s">
        <v>25</v>
      </c>
      <c r="D11" s="67">
        <f>(6.5+3+7+8)/4</f>
        <v>6.125</v>
      </c>
      <c r="E11" s="67">
        <f>(4+4+1+4)/4</f>
        <v>3.25</v>
      </c>
      <c r="F11" s="67">
        <f>(7+6+6+8)/4</f>
        <v>6.75</v>
      </c>
      <c r="G11" s="67">
        <f>(4+3+4+4)/4</f>
        <v>3.75</v>
      </c>
      <c r="H11" s="67">
        <f>(6.5+7+6+7)/4</f>
        <v>6.625</v>
      </c>
      <c r="I11" s="67">
        <f>(8+7+8+4)/4</f>
        <v>6.75</v>
      </c>
      <c r="J11" s="67">
        <f>SUM(D11:I11)</f>
        <v>33.25</v>
      </c>
    </row>
    <row r="12" spans="1:10" ht="15">
      <c r="A12" s="41"/>
      <c r="B12" s="29" t="s">
        <v>6</v>
      </c>
      <c r="C12" s="31"/>
      <c r="D12" s="71"/>
      <c r="E12" s="71"/>
      <c r="F12" s="71"/>
      <c r="G12" s="71"/>
      <c r="H12" s="71"/>
      <c r="I12" s="71"/>
      <c r="J12" s="71"/>
    </row>
    <row r="13" spans="1:10" ht="46.5">
      <c r="A13" s="37">
        <v>5</v>
      </c>
      <c r="B13" s="44" t="s">
        <v>43</v>
      </c>
      <c r="C13" s="9" t="s">
        <v>44</v>
      </c>
      <c r="D13" s="66">
        <f>(7.5+5+3+6.5)/4</f>
        <v>5.5</v>
      </c>
      <c r="E13" s="66">
        <f>(4+3+5+5)/4</f>
        <v>4.25</v>
      </c>
      <c r="F13" s="66">
        <f>(7+6+5+7)/4</f>
        <v>6.25</v>
      </c>
      <c r="G13" s="66">
        <f>(4+2+2+3.5)/4</f>
        <v>2.875</v>
      </c>
      <c r="H13" s="66">
        <f>(7+6+5+6.5)/4</f>
        <v>6.125</v>
      </c>
      <c r="I13" s="66">
        <f>(7.5+5+2+6.5)/4</f>
        <v>5.25</v>
      </c>
      <c r="J13" s="66">
        <f aca="true" t="shared" si="0" ref="J13:J19">SUM(D13:I13)</f>
        <v>30.25</v>
      </c>
    </row>
    <row r="14" spans="1:10" ht="46.5">
      <c r="A14" s="41"/>
      <c r="B14" s="29" t="s">
        <v>45</v>
      </c>
      <c r="C14" s="9" t="s">
        <v>46</v>
      </c>
      <c r="D14" s="66">
        <f>(7.5+4+3+5)/4</f>
        <v>4.875</v>
      </c>
      <c r="E14" s="66">
        <f>(2+2+4+2.5)/4</f>
        <v>2.625</v>
      </c>
      <c r="F14" s="66">
        <f>(7+5+5+5)/4</f>
        <v>5.5</v>
      </c>
      <c r="G14" s="66">
        <f>(4+2+2+2.5)/4</f>
        <v>2.625</v>
      </c>
      <c r="H14" s="66">
        <f>(7.5+5+5+5)/4</f>
        <v>5.625</v>
      </c>
      <c r="I14" s="66">
        <f>(8+5+2+5.5)/4</f>
        <v>5.125</v>
      </c>
      <c r="J14" s="66">
        <f t="shared" si="0"/>
        <v>26.375</v>
      </c>
    </row>
    <row r="15" spans="1:10" ht="34.5" customHeight="1">
      <c r="A15" s="37">
        <v>6</v>
      </c>
      <c r="B15" s="45" t="s">
        <v>51</v>
      </c>
      <c r="C15" s="34" t="s">
        <v>53</v>
      </c>
      <c r="D15" s="72">
        <f>(7.5+0+4+2)/4</f>
        <v>3.375</v>
      </c>
      <c r="E15" s="72">
        <f>(4+0+2+2)/4</f>
        <v>2</v>
      </c>
      <c r="F15" s="72">
        <f>(4+0+2+3)/4</f>
        <v>2.25</v>
      </c>
      <c r="G15" s="72">
        <f>(4+0+2+2)/4</f>
        <v>2</v>
      </c>
      <c r="H15" s="72">
        <f>(6.5+0+5+3.5)/4</f>
        <v>3.75</v>
      </c>
      <c r="I15" s="72">
        <f>(7.5+0+4+3.5)/4</f>
        <v>3.75</v>
      </c>
      <c r="J15" s="72">
        <f t="shared" si="0"/>
        <v>17.125</v>
      </c>
    </row>
    <row r="16" spans="1:10" ht="46.5">
      <c r="A16" s="40"/>
      <c r="B16" s="28" t="s">
        <v>52</v>
      </c>
      <c r="C16" s="9" t="s">
        <v>54</v>
      </c>
      <c r="D16" s="66">
        <f>(8+4+5+2)/4</f>
        <v>4.75</v>
      </c>
      <c r="E16" s="66">
        <f>(4+2+3+2)/4</f>
        <v>2.75</v>
      </c>
      <c r="F16" s="66">
        <f>(4+4+2+3)/4</f>
        <v>3.25</v>
      </c>
      <c r="G16" s="66">
        <f>(4+2+3+1.5)/4</f>
        <v>2.625</v>
      </c>
      <c r="H16" s="66">
        <f>(8+4+5+3)/4</f>
        <v>5</v>
      </c>
      <c r="I16" s="66">
        <f>(8+4+4+2)/4</f>
        <v>4.5</v>
      </c>
      <c r="J16" s="66">
        <f t="shared" si="0"/>
        <v>22.875</v>
      </c>
    </row>
    <row r="17" spans="1:10" ht="46.5">
      <c r="A17" s="40"/>
      <c r="B17" s="27"/>
      <c r="C17" s="9" t="s">
        <v>55</v>
      </c>
      <c r="D17" s="66">
        <f>(8+1+5+7)/4</f>
        <v>5.25</v>
      </c>
      <c r="E17" s="66">
        <f>(4+2+4+5)/4</f>
        <v>3.75</v>
      </c>
      <c r="F17" s="66">
        <f>(6+5+7+8)/4</f>
        <v>6.5</v>
      </c>
      <c r="G17" s="66">
        <f>(4+2+3+4)/4</f>
        <v>3.25</v>
      </c>
      <c r="H17" s="66">
        <f>(7.5+6+5+7)/4</f>
        <v>6.375</v>
      </c>
      <c r="I17" s="66">
        <f>(8+3+6+7)/3</f>
        <v>8</v>
      </c>
      <c r="J17" s="66">
        <f t="shared" si="0"/>
        <v>33.125</v>
      </c>
    </row>
    <row r="18" spans="1:10" ht="30.75">
      <c r="A18" s="41"/>
      <c r="B18" s="15"/>
      <c r="C18" s="9" t="s">
        <v>56</v>
      </c>
      <c r="D18" s="66">
        <f>(8+2+5+4)/4</f>
        <v>4.75</v>
      </c>
      <c r="E18" s="66">
        <f>(2+1+4+3)/4</f>
        <v>2.5</v>
      </c>
      <c r="F18" s="66">
        <f>(6+4+7+5)/4</f>
        <v>5.5</v>
      </c>
      <c r="G18" s="66">
        <f>(4+2+3+2)/4</f>
        <v>2.75</v>
      </c>
      <c r="H18" s="66">
        <f>(7+5+5+4)/4</f>
        <v>5.25</v>
      </c>
      <c r="I18" s="66">
        <f>(8+3+6+4)/3</f>
        <v>7</v>
      </c>
      <c r="J18" s="66">
        <f t="shared" si="0"/>
        <v>27.75</v>
      </c>
    </row>
    <row r="19" spans="1:10" ht="46.5">
      <c r="A19" s="37">
        <v>7</v>
      </c>
      <c r="B19" s="44" t="s">
        <v>57</v>
      </c>
      <c r="C19" s="43" t="s">
        <v>59</v>
      </c>
      <c r="D19" s="67">
        <f>(7.5+4+5+7)/4</f>
        <v>5.875</v>
      </c>
      <c r="E19" s="67">
        <f>(4+3+3+5)/4</f>
        <v>3.75</v>
      </c>
      <c r="F19" s="67">
        <f>(7.5+6+5+7)/4</f>
        <v>6.375</v>
      </c>
      <c r="G19" s="67">
        <f>(3.5+2+3+3.5)/4</f>
        <v>3</v>
      </c>
      <c r="H19" s="67">
        <f>(8+5+5+6.5)/4</f>
        <v>6.125</v>
      </c>
      <c r="I19" s="67">
        <f>(7+5+4+6)/4</f>
        <v>5.5</v>
      </c>
      <c r="J19" s="67">
        <f t="shared" si="0"/>
        <v>30.625</v>
      </c>
    </row>
    <row r="20" spans="1:10" ht="15">
      <c r="A20" s="40"/>
      <c r="B20" s="8" t="s">
        <v>58</v>
      </c>
      <c r="C20" s="15"/>
      <c r="D20" s="68"/>
      <c r="E20" s="68"/>
      <c r="F20" s="68"/>
      <c r="G20" s="68"/>
      <c r="H20" s="68"/>
      <c r="I20" s="68"/>
      <c r="J20" s="68"/>
    </row>
    <row r="21" spans="1:10" ht="46.5">
      <c r="A21" s="42">
        <v>8</v>
      </c>
      <c r="B21" s="44" t="s">
        <v>68</v>
      </c>
      <c r="C21" s="9" t="s">
        <v>70</v>
      </c>
      <c r="D21" s="66">
        <f>(7+5+6+6.5)/4</f>
        <v>6.125</v>
      </c>
      <c r="E21" s="66">
        <f>(4+3+4+3)/4</f>
        <v>3.5</v>
      </c>
      <c r="F21" s="66">
        <f>(7+4+6+6)/4</f>
        <v>5.75</v>
      </c>
      <c r="G21" s="66">
        <f>(3+2+3+4)/4</f>
        <v>3</v>
      </c>
      <c r="H21" s="66">
        <f>(7+6+7+6)/4</f>
        <v>6.5</v>
      </c>
      <c r="I21" s="66">
        <f>(7+6+7+6)/4</f>
        <v>6.5</v>
      </c>
      <c r="J21" s="66">
        <f aca="true" t="shared" si="1" ref="J21:J32">SUM(D21:I21)</f>
        <v>31.375</v>
      </c>
    </row>
    <row r="22" spans="1:10" ht="30.75">
      <c r="A22" s="40"/>
      <c r="B22" s="11" t="s">
        <v>69</v>
      </c>
      <c r="C22" s="9" t="s">
        <v>71</v>
      </c>
      <c r="D22" s="66">
        <f>(4+1+2+0)/4</f>
        <v>1.75</v>
      </c>
      <c r="E22" s="66">
        <f>(4+2+4+2.5)/4</f>
        <v>3.125</v>
      </c>
      <c r="F22" s="66">
        <f>(7+3+6+6)/4</f>
        <v>5.5</v>
      </c>
      <c r="G22" s="66">
        <f>(3+1+2+2)/4</f>
        <v>2</v>
      </c>
      <c r="H22" s="66">
        <f>(6+6+5+2.5)/4</f>
        <v>4.875</v>
      </c>
      <c r="I22" s="66">
        <f>(5+4+2+0)/4</f>
        <v>2.75</v>
      </c>
      <c r="J22" s="66">
        <f t="shared" si="1"/>
        <v>20</v>
      </c>
    </row>
    <row r="23" spans="1:10" ht="46.5">
      <c r="A23" s="40"/>
      <c r="B23" s="27"/>
      <c r="C23" s="9" t="s">
        <v>72</v>
      </c>
      <c r="D23" s="66">
        <f>(5+1+1+0)/4</f>
        <v>1.75</v>
      </c>
      <c r="E23" s="66">
        <f>(3+2+1+1)/4</f>
        <v>1.75</v>
      </c>
      <c r="F23" s="66">
        <f>(3+2+2+2)/4</f>
        <v>2.25</v>
      </c>
      <c r="G23" s="66">
        <f>(3+1+2+0)/4</f>
        <v>1.5</v>
      </c>
      <c r="H23" s="66">
        <f>(6.5+5+5+1)/4</f>
        <v>4.375</v>
      </c>
      <c r="I23" s="66">
        <f>(5+3+2+0)/4</f>
        <v>2.5</v>
      </c>
      <c r="J23" s="66">
        <f t="shared" si="1"/>
        <v>14.125</v>
      </c>
    </row>
    <row r="24" spans="1:10" ht="46.5">
      <c r="A24" s="40"/>
      <c r="B24" s="15"/>
      <c r="C24" s="9" t="s">
        <v>73</v>
      </c>
      <c r="D24" s="66">
        <f>(4+2+1+1)/4</f>
        <v>2</v>
      </c>
      <c r="E24" s="66">
        <f>(4+2+4+3)/4</f>
        <v>3.25</v>
      </c>
      <c r="F24" s="66">
        <f>(7+2+4+6)/4</f>
        <v>4.75</v>
      </c>
      <c r="G24" s="66">
        <f>(3+2+5+2.5)/4</f>
        <v>3.125</v>
      </c>
      <c r="H24" s="66">
        <f>(6+5+5+4)/4</f>
        <v>5</v>
      </c>
      <c r="I24" s="66">
        <f>(5+3+2+1)/4</f>
        <v>2.75</v>
      </c>
      <c r="J24" s="66">
        <f t="shared" si="1"/>
        <v>20.875</v>
      </c>
    </row>
    <row r="25" spans="1:10" ht="30.75">
      <c r="A25" s="37">
        <v>9</v>
      </c>
      <c r="B25" s="21" t="s">
        <v>74</v>
      </c>
      <c r="C25" s="9" t="s">
        <v>75</v>
      </c>
      <c r="D25" s="66">
        <f>(6+2+4+6)/4</f>
        <v>4.5</v>
      </c>
      <c r="E25" s="66">
        <f>(4+2+2+2.5)/4</f>
        <v>2.625</v>
      </c>
      <c r="F25" s="66">
        <f>(4+4+2+4)/4</f>
        <v>3.5</v>
      </c>
      <c r="G25" s="66">
        <f>(3+2+2+3.5)/4</f>
        <v>2.625</v>
      </c>
      <c r="H25" s="66">
        <f>(6.5+6+2+7)/4</f>
        <v>5.375</v>
      </c>
      <c r="I25" s="66">
        <f>(7+5+4+7)/4</f>
        <v>5.75</v>
      </c>
      <c r="J25" s="66">
        <f t="shared" si="1"/>
        <v>24.375</v>
      </c>
    </row>
    <row r="26" spans="1:11" ht="46.5">
      <c r="A26" s="40"/>
      <c r="B26" s="29" t="s">
        <v>6</v>
      </c>
      <c r="C26" s="82" t="s">
        <v>76</v>
      </c>
      <c r="D26" s="83">
        <f>(8+6+8+9)/4</f>
        <v>7.75</v>
      </c>
      <c r="E26" s="83">
        <f>(4+3+5+5)/4</f>
        <v>4.25</v>
      </c>
      <c r="F26" s="83">
        <f>(6+6+7+9)/4</f>
        <v>7</v>
      </c>
      <c r="G26" s="83">
        <f>(4+3+7+5)/4</f>
        <v>4.75</v>
      </c>
      <c r="H26" s="83">
        <f>(7+6+4+9)/4</f>
        <v>6.5</v>
      </c>
      <c r="I26" s="83">
        <f>(8+7+8+9)/4</f>
        <v>8</v>
      </c>
      <c r="J26" s="83">
        <f t="shared" si="1"/>
        <v>38.25</v>
      </c>
      <c r="K26" t="s">
        <v>106</v>
      </c>
    </row>
    <row r="27" spans="1:10" ht="46.5">
      <c r="A27" s="37">
        <v>10</v>
      </c>
      <c r="B27" s="21" t="s">
        <v>77</v>
      </c>
      <c r="C27" s="43" t="s">
        <v>78</v>
      </c>
      <c r="D27" s="67">
        <f>(8+4+6+8.5)/4</f>
        <v>6.625</v>
      </c>
      <c r="E27" s="67">
        <f>(2.5+2+2+4.5)/4</f>
        <v>2.75</v>
      </c>
      <c r="F27" s="67">
        <f>(7+4+3+8.5)/4</f>
        <v>5.625</v>
      </c>
      <c r="G27" s="67">
        <f>(4+2+4+4)/4</f>
        <v>3.5</v>
      </c>
      <c r="H27" s="67">
        <f>(8+5+6+8.5)/4</f>
        <v>6.875</v>
      </c>
      <c r="I27" s="67">
        <f>(8+5+4+9.5)/4</f>
        <v>6.625</v>
      </c>
      <c r="J27" s="67">
        <f t="shared" si="1"/>
        <v>32</v>
      </c>
    </row>
    <row r="28" spans="1:10" ht="15">
      <c r="A28" s="41"/>
      <c r="B28" s="8" t="s">
        <v>6</v>
      </c>
      <c r="C28" s="15"/>
      <c r="D28" s="68"/>
      <c r="E28" s="68"/>
      <c r="F28" s="68"/>
      <c r="G28" s="68"/>
      <c r="H28" s="68"/>
      <c r="I28" s="74"/>
      <c r="J28" s="68"/>
    </row>
    <row r="29" spans="1:10" ht="30.75">
      <c r="A29" s="46">
        <v>11</v>
      </c>
      <c r="B29" s="21" t="s">
        <v>79</v>
      </c>
      <c r="C29" s="43" t="s">
        <v>81</v>
      </c>
      <c r="D29" s="73">
        <f>(0+6+8+9)/4</f>
        <v>5.75</v>
      </c>
      <c r="E29" s="73">
        <f>(0+3+5+5)/4</f>
        <v>3.25</v>
      </c>
      <c r="F29" s="73">
        <f>(0+5+8+9)/4</f>
        <v>5.5</v>
      </c>
      <c r="G29" s="73">
        <f>(0+3+4+5)/4</f>
        <v>3</v>
      </c>
      <c r="H29" s="73">
        <f>(0+6+8+9.5)/4</f>
        <v>5.875</v>
      </c>
      <c r="I29" s="73">
        <f>(0+6+8+9.5)/4</f>
        <v>5.875</v>
      </c>
      <c r="J29" s="75">
        <f t="shared" si="1"/>
        <v>29.25</v>
      </c>
    </row>
    <row r="30" spans="1:10" ht="28.5">
      <c r="A30" s="47"/>
      <c r="B30" s="28" t="s">
        <v>80</v>
      </c>
      <c r="C30" s="76" t="s">
        <v>105</v>
      </c>
      <c r="D30" s="77">
        <f>(0+3+6+7)/4</f>
        <v>4</v>
      </c>
      <c r="E30" s="77">
        <f>(0+2+5+3.5)/4</f>
        <v>2.625</v>
      </c>
      <c r="F30" s="77">
        <f>(0+4+7+8)/4</f>
        <v>4.75</v>
      </c>
      <c r="G30" s="77">
        <f>(0+2+3+4)/4</f>
        <v>2.25</v>
      </c>
      <c r="H30" s="77">
        <f>(0+5+8+8)/4</f>
        <v>5.25</v>
      </c>
      <c r="I30" s="77">
        <f>(0+5+5+7.5)/4</f>
        <v>4.375</v>
      </c>
      <c r="J30" s="67">
        <f t="shared" si="1"/>
        <v>23.25</v>
      </c>
    </row>
    <row r="31" spans="1:10" ht="28.5">
      <c r="A31" s="47"/>
      <c r="B31" s="20"/>
      <c r="C31" s="2" t="s">
        <v>82</v>
      </c>
      <c r="D31" s="77">
        <f>(0+5+7+7)/4</f>
        <v>4.75</v>
      </c>
      <c r="E31" s="77">
        <f>(0+3+5+4)/4</f>
        <v>3</v>
      </c>
      <c r="F31" s="77">
        <f>(0+5+7+8)/4</f>
        <v>5</v>
      </c>
      <c r="G31" s="77">
        <f>(0+2+4+3.5)/4</f>
        <v>2.375</v>
      </c>
      <c r="H31" s="77">
        <f>(0+6+8+7)/4</f>
        <v>5.25</v>
      </c>
      <c r="I31" s="77">
        <f>(0+5+7+7)/4</f>
        <v>4.75</v>
      </c>
      <c r="J31" s="67">
        <f t="shared" si="1"/>
        <v>25.125</v>
      </c>
    </row>
    <row r="32" spans="1:10" ht="15">
      <c r="A32" s="48"/>
      <c r="B32" s="6"/>
      <c r="C32" s="1" t="s">
        <v>83</v>
      </c>
      <c r="D32" s="77">
        <f>(0+4+5+6)/4</f>
        <v>3.75</v>
      </c>
      <c r="E32" s="77">
        <f>(0+2+5+4)/4</f>
        <v>2.75</v>
      </c>
      <c r="F32" s="77">
        <f>(0+5+5+8)/4</f>
        <v>4.5</v>
      </c>
      <c r="G32" s="77">
        <f>(0+2+4+3.5)/4</f>
        <v>2.375</v>
      </c>
      <c r="H32" s="77">
        <f>(0+5+8+7)/4</f>
        <v>5</v>
      </c>
      <c r="I32" s="77">
        <f>(0+4+6+6)/4</f>
        <v>4</v>
      </c>
      <c r="J32" s="67">
        <f t="shared" si="1"/>
        <v>22.375</v>
      </c>
    </row>
    <row r="33" spans="1:10" ht="30.75">
      <c r="A33" s="25">
        <v>12</v>
      </c>
      <c r="B33" s="21" t="s">
        <v>84</v>
      </c>
      <c r="C33" s="9" t="s">
        <v>86</v>
      </c>
      <c r="D33" s="66">
        <f>(7+5+6+6)/4</f>
        <v>6</v>
      </c>
      <c r="E33" s="66">
        <f>(2+2+3+2.5)/4</f>
        <v>2.375</v>
      </c>
      <c r="F33" s="66">
        <f>(5+3+5+5)/4</f>
        <v>4.5</v>
      </c>
      <c r="G33" s="66">
        <f>(4+2+4+3)/4</f>
        <v>3.25</v>
      </c>
      <c r="H33" s="66">
        <f>(6+5+8+6.5)/4</f>
        <v>6.375</v>
      </c>
      <c r="I33" s="66">
        <f>(7+5+6+6.5)/4</f>
        <v>6.125</v>
      </c>
      <c r="J33" s="66">
        <f>SUM(D33:I33)</f>
        <v>28.625</v>
      </c>
    </row>
    <row r="34" spans="1:10" ht="15">
      <c r="A34" s="27"/>
      <c r="B34" s="11" t="s">
        <v>85</v>
      </c>
      <c r="C34" s="4" t="s">
        <v>94</v>
      </c>
      <c r="D34" s="66">
        <f>(7+6+7+7.5)/4</f>
        <v>6.875</v>
      </c>
      <c r="E34" s="66">
        <f>(2+3+3+3)/4</f>
        <v>2.75</v>
      </c>
      <c r="F34" s="66">
        <f>(6+5+5+6.5)/4</f>
        <v>5.625</v>
      </c>
      <c r="G34" s="66">
        <f>(4+2+4+4)/4</f>
        <v>3.5</v>
      </c>
      <c r="H34" s="66">
        <f>(7+6+8+7)/4</f>
        <v>7</v>
      </c>
      <c r="I34" s="66">
        <f>(8+6+7+7)/4</f>
        <v>7</v>
      </c>
      <c r="J34" s="66">
        <f>SUM(D34:I34)</f>
        <v>32.75</v>
      </c>
    </row>
    <row r="35" spans="1:10" ht="30.75">
      <c r="A35" s="15"/>
      <c r="B35" s="15"/>
      <c r="C35" s="9" t="s">
        <v>95</v>
      </c>
      <c r="D35" s="66">
        <f>(8+0+6+7.5)/4</f>
        <v>5.375</v>
      </c>
      <c r="E35" s="66">
        <f>(2+0+3+3.5)/4</f>
        <v>2.125</v>
      </c>
      <c r="F35" s="66">
        <f>(6+0+5+7)/4</f>
        <v>4.5</v>
      </c>
      <c r="G35" s="66">
        <f>(4+0+3+3.5)/4</f>
        <v>2.625</v>
      </c>
      <c r="H35" s="66">
        <f>(7+0+8+7)/4</f>
        <v>5.5</v>
      </c>
      <c r="I35" s="66">
        <f>(8+0+6+7)/4</f>
        <v>5.25</v>
      </c>
      <c r="J35" s="66">
        <f>SUM(D35:I35)</f>
        <v>25.375</v>
      </c>
    </row>
    <row r="36" spans="1:11" ht="30.75">
      <c r="A36" s="84">
        <v>13</v>
      </c>
      <c r="B36" s="85" t="s">
        <v>96</v>
      </c>
      <c r="C36" s="86" t="s">
        <v>98</v>
      </c>
      <c r="D36" s="87">
        <f>(7+3+6+9)/4</f>
        <v>6.25</v>
      </c>
      <c r="E36" s="87">
        <f>(4+2+5+5)/4</f>
        <v>4</v>
      </c>
      <c r="F36" s="87">
        <f>(6.5+3+8+10)/4</f>
        <v>6.875</v>
      </c>
      <c r="G36" s="87">
        <f>(4+2+4+5)/4</f>
        <v>3.75</v>
      </c>
      <c r="H36" s="87">
        <f>(7+5+8+10)/4</f>
        <v>7.5</v>
      </c>
      <c r="I36" s="87">
        <f>(8+4+7+10)/4</f>
        <v>7.25</v>
      </c>
      <c r="J36" s="87">
        <f>SUM(D36:I36)</f>
        <v>35.625</v>
      </c>
      <c r="K36" t="s">
        <v>108</v>
      </c>
    </row>
    <row r="37" spans="1:10" ht="15">
      <c r="A37" s="50"/>
      <c r="B37" s="51" t="s">
        <v>97</v>
      </c>
      <c r="C37" s="15"/>
      <c r="D37" s="26"/>
      <c r="E37" s="26"/>
      <c r="F37" s="26"/>
      <c r="G37" s="26"/>
      <c r="H37" s="26"/>
      <c r="I37" s="26"/>
      <c r="J37" s="26"/>
    </row>
  </sheetData>
  <sheetProtection/>
  <autoFilter ref="B2:J10">
    <sortState ref="B3:J37">
      <sortCondition descending="1" sortBy="value" ref="J3:J37"/>
    </sortState>
  </autoFilter>
  <printOptions/>
  <pageMargins left="0.25" right="0.25" top="0.75" bottom="0.75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57421875" style="0" customWidth="1"/>
    <col min="2" max="2" width="25.7109375" style="0" bestFit="1" customWidth="1"/>
    <col min="3" max="3" width="29.57421875" style="0" customWidth="1"/>
    <col min="4" max="4" width="16.7109375" style="0" customWidth="1"/>
    <col min="5" max="5" width="12.8515625" style="0" customWidth="1"/>
    <col min="6" max="6" width="18.57421875" style="0" customWidth="1"/>
    <col min="7" max="7" width="11.57421875" style="0" customWidth="1"/>
    <col min="8" max="8" width="17.28125" style="0" customWidth="1"/>
    <col min="9" max="9" width="13.57421875" style="0" customWidth="1"/>
    <col min="10" max="10" width="10.28125" style="0" customWidth="1"/>
  </cols>
  <sheetData>
    <row r="2" spans="1:17" ht="45">
      <c r="A2" s="22" t="s">
        <v>2</v>
      </c>
      <c r="B2" s="19" t="s">
        <v>0</v>
      </c>
      <c r="C2" s="16" t="s">
        <v>1</v>
      </c>
      <c r="D2" s="17" t="s">
        <v>20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8" t="s">
        <v>38</v>
      </c>
      <c r="K2" s="35"/>
      <c r="L2" s="35"/>
      <c r="M2" s="35"/>
      <c r="N2" s="35"/>
      <c r="O2" s="36"/>
      <c r="P2" s="36"/>
      <c r="Q2" s="36"/>
    </row>
    <row r="3" spans="1:17" ht="15">
      <c r="A3" s="97">
        <v>1</v>
      </c>
      <c r="B3" s="14" t="s">
        <v>4</v>
      </c>
      <c r="C3" s="4" t="s">
        <v>21</v>
      </c>
      <c r="D3" s="66">
        <f>(4+1+3+4)/4</f>
        <v>3</v>
      </c>
      <c r="E3" s="66">
        <f>(2+2+5+3)/4</f>
        <v>3</v>
      </c>
      <c r="F3" s="66">
        <f>(6+4+6+4)/4</f>
        <v>5</v>
      </c>
      <c r="G3" s="66">
        <f>(3.5+1+4+2)/4</f>
        <v>2.625</v>
      </c>
      <c r="H3" s="66">
        <f>(6+5+8+4)/4</f>
        <v>5.75</v>
      </c>
      <c r="I3" s="66">
        <f>(6+4+3+4)/4</f>
        <v>4.25</v>
      </c>
      <c r="J3" s="66">
        <f>SUM(D3:I3)</f>
        <v>23.625</v>
      </c>
      <c r="K3" s="35"/>
      <c r="L3" s="35"/>
      <c r="M3" s="35"/>
      <c r="N3" s="35"/>
      <c r="O3" s="36"/>
      <c r="P3" s="36"/>
      <c r="Q3" s="36"/>
    </row>
    <row r="4" spans="1:17" ht="15">
      <c r="A4" s="97"/>
      <c r="B4" s="27"/>
      <c r="C4" s="3" t="s">
        <v>22</v>
      </c>
      <c r="D4" s="38"/>
      <c r="E4" s="38"/>
      <c r="F4" s="38"/>
      <c r="G4" s="38"/>
      <c r="H4" s="38"/>
      <c r="I4" s="38"/>
      <c r="J4" s="38"/>
      <c r="K4" s="35" t="s">
        <v>109</v>
      </c>
      <c r="L4" s="35"/>
      <c r="M4" s="35"/>
      <c r="N4" s="35"/>
      <c r="O4" s="36"/>
      <c r="P4" s="36"/>
      <c r="Q4" s="36"/>
    </row>
    <row r="5" spans="1:17" ht="15">
      <c r="A5" s="97"/>
      <c r="B5" s="27"/>
      <c r="C5" s="88" t="s">
        <v>23</v>
      </c>
      <c r="D5" s="89">
        <f>(4+1+3+4)/4</f>
        <v>3</v>
      </c>
      <c r="E5" s="89">
        <f>(2+2+3+2)/4</f>
        <v>2.25</v>
      </c>
      <c r="F5" s="89">
        <f>(5+4+5+4)/4</f>
        <v>4.5</v>
      </c>
      <c r="G5" s="89">
        <f>(3.5+1+62)/4</f>
        <v>16.625</v>
      </c>
      <c r="H5" s="89">
        <f>(6+4+2+4)/4</f>
        <v>4</v>
      </c>
      <c r="I5" s="89">
        <f>(6+4+5+5)/4</f>
        <v>5</v>
      </c>
      <c r="J5" s="89">
        <f>SUM(D5:I5)</f>
        <v>35.375</v>
      </c>
      <c r="K5" s="35" t="s">
        <v>110</v>
      </c>
      <c r="L5" s="35"/>
      <c r="M5" s="35"/>
      <c r="N5" s="35"/>
      <c r="O5" s="36"/>
      <c r="P5" s="36"/>
      <c r="Q5" s="36"/>
    </row>
    <row r="6" spans="1:17" ht="30.75">
      <c r="A6" s="97"/>
      <c r="B6" s="15"/>
      <c r="C6" s="9" t="s">
        <v>24</v>
      </c>
      <c r="D6" s="66">
        <f>(5+1+4+6)/4</f>
        <v>4</v>
      </c>
      <c r="E6" s="66">
        <f>(4+2+2+4)/4</f>
        <v>3</v>
      </c>
      <c r="F6" s="66">
        <f>(7+6+5+6)/4</f>
        <v>6</v>
      </c>
      <c r="G6" s="66">
        <f>(4+2+3+2)/4</f>
        <v>2.75</v>
      </c>
      <c r="H6" s="66">
        <f>(4+5+2+4)/4</f>
        <v>3.75</v>
      </c>
      <c r="I6" s="66">
        <f>(6+2+2+5)/4</f>
        <v>3.75</v>
      </c>
      <c r="J6" s="66">
        <f>SUM(D6:I6)</f>
        <v>23.25</v>
      </c>
      <c r="K6" s="35"/>
      <c r="L6" s="35"/>
      <c r="M6" s="35"/>
      <c r="N6" s="35"/>
      <c r="O6" s="36"/>
      <c r="P6" s="36"/>
      <c r="Q6" s="36"/>
    </row>
    <row r="7" spans="1:17" ht="15">
      <c r="A7" s="4">
        <v>2</v>
      </c>
      <c r="B7" s="90" t="s">
        <v>101</v>
      </c>
      <c r="C7" s="90" t="s">
        <v>102</v>
      </c>
      <c r="D7" s="91">
        <f>(6+8)/2</f>
        <v>7</v>
      </c>
      <c r="E7" s="91">
        <f>(3+3.5)/2</f>
        <v>3.25</v>
      </c>
      <c r="F7" s="91">
        <f>(6+7.5)/2</f>
        <v>6.75</v>
      </c>
      <c r="G7" s="91">
        <f>(3+3)/2</f>
        <v>3</v>
      </c>
      <c r="H7" s="91">
        <f>(6+7)/2</f>
        <v>6.5</v>
      </c>
      <c r="I7" s="91">
        <f>(6+7.5)/2</f>
        <v>6.75</v>
      </c>
      <c r="J7" s="92">
        <f>SUM(D7:I7)</f>
        <v>33.25</v>
      </c>
      <c r="K7" s="35"/>
      <c r="L7" s="35"/>
      <c r="M7" s="35"/>
      <c r="N7" s="35"/>
      <c r="O7" s="36"/>
      <c r="P7" s="36"/>
      <c r="Q7" s="36"/>
    </row>
  </sheetData>
  <sheetProtection/>
  <mergeCells count="1">
    <mergeCell ref="A3:A6"/>
  </mergeCells>
  <printOptions/>
  <pageMargins left="0.7" right="0.7" top="0.75" bottom="0.75" header="0.3" footer="0.3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4.7109375" style="0" bestFit="1" customWidth="1"/>
    <col min="2" max="2" width="25.8515625" style="0" customWidth="1"/>
    <col min="3" max="3" width="34.00390625" style="0" customWidth="1"/>
    <col min="4" max="4" width="16.00390625" style="0" customWidth="1"/>
    <col min="5" max="5" width="13.7109375" style="0" customWidth="1"/>
    <col min="6" max="6" width="12.8515625" style="0" customWidth="1"/>
    <col min="7" max="7" width="10.8515625" style="0" customWidth="1"/>
    <col min="8" max="8" width="16.421875" style="0" customWidth="1"/>
    <col min="9" max="9" width="12.7109375" style="0" customWidth="1"/>
    <col min="10" max="10" width="10.7109375" style="0" customWidth="1"/>
  </cols>
  <sheetData>
    <row r="1" spans="1:10" ht="45">
      <c r="A1" s="22" t="s">
        <v>2</v>
      </c>
      <c r="B1" s="19" t="s">
        <v>0</v>
      </c>
      <c r="C1" s="16" t="s">
        <v>1</v>
      </c>
      <c r="D1" s="17" t="s">
        <v>20</v>
      </c>
      <c r="E1" s="17" t="s">
        <v>7</v>
      </c>
      <c r="F1" s="17" t="s">
        <v>8</v>
      </c>
      <c r="G1" s="17" t="s">
        <v>9</v>
      </c>
      <c r="H1" s="17" t="s">
        <v>19</v>
      </c>
      <c r="I1" s="17" t="s">
        <v>10</v>
      </c>
      <c r="J1" s="18" t="s">
        <v>3</v>
      </c>
    </row>
    <row r="2" spans="1:11" ht="30.75">
      <c r="A2" s="98">
        <v>1</v>
      </c>
      <c r="B2" s="93" t="s">
        <v>47</v>
      </c>
      <c r="C2" s="94" t="s">
        <v>49</v>
      </c>
      <c r="D2" s="89">
        <f>(8+4+8.5)/3</f>
        <v>6.833333333333333</v>
      </c>
      <c r="E2" s="89">
        <f>(4+2+4)/3</f>
        <v>3.3333333333333335</v>
      </c>
      <c r="F2" s="89">
        <f>(7+5+7)/3</f>
        <v>6.333333333333333</v>
      </c>
      <c r="G2" s="89">
        <f>(4+2+4.5)/3</f>
        <v>3.5</v>
      </c>
      <c r="H2" s="89">
        <f>(7.5+4+9)/3</f>
        <v>6.833333333333333</v>
      </c>
      <c r="I2" s="89">
        <f>(8+6+9)/3</f>
        <v>7.666666666666667</v>
      </c>
      <c r="J2" s="89">
        <f aca="true" t="shared" si="0" ref="J2:J17">SUM(D2:I2)</f>
        <v>34.5</v>
      </c>
      <c r="K2" t="s">
        <v>110</v>
      </c>
    </row>
    <row r="3" spans="1:10" ht="30.75" customHeight="1">
      <c r="A3" s="99"/>
      <c r="B3" s="28" t="s">
        <v>48</v>
      </c>
      <c r="C3" s="65" t="s">
        <v>50</v>
      </c>
      <c r="D3" s="66">
        <f>(8+3+7.5)/3</f>
        <v>6.166666666666667</v>
      </c>
      <c r="E3" s="66">
        <f>(4+2+3.5)/3</f>
        <v>3.1666666666666665</v>
      </c>
      <c r="F3" s="66">
        <f>(7+6+6.5)/3</f>
        <v>6.5</v>
      </c>
      <c r="G3" s="66">
        <f>(4+3+4.5)/3</f>
        <v>3.8333333333333335</v>
      </c>
      <c r="H3" s="66">
        <f>(8+4+8.5)/3</f>
        <v>6.833333333333333</v>
      </c>
      <c r="I3" s="66">
        <f>(8+7+8.5)/3</f>
        <v>7.833333333333333</v>
      </c>
      <c r="J3" s="66">
        <f t="shared" si="0"/>
        <v>34.333333333333336</v>
      </c>
    </row>
    <row r="4" spans="1:10" ht="30.75" customHeight="1">
      <c r="A4" s="100"/>
      <c r="B4" s="28"/>
      <c r="C4" s="9" t="s">
        <v>103</v>
      </c>
      <c r="D4" s="69">
        <f>(2+3)/2</f>
        <v>2.5</v>
      </c>
      <c r="E4" s="69">
        <f>(3+5)/2</f>
        <v>4</v>
      </c>
      <c r="F4" s="69">
        <f>(5+4)/2</f>
        <v>4.5</v>
      </c>
      <c r="G4" s="69">
        <f>(2+2)/2</f>
        <v>2</v>
      </c>
      <c r="H4" s="69">
        <f>(5+8)/2</f>
        <v>6.5</v>
      </c>
      <c r="I4" s="69">
        <f>(4+4)/2</f>
        <v>4</v>
      </c>
      <c r="J4" s="66">
        <f t="shared" si="0"/>
        <v>23.5</v>
      </c>
    </row>
    <row r="5" spans="1:10" ht="30.75" customHeight="1">
      <c r="A5" s="100"/>
      <c r="B5" s="28"/>
      <c r="C5" s="9" t="s">
        <v>104</v>
      </c>
      <c r="D5" s="69">
        <f>(4+7)/2</f>
        <v>5.5</v>
      </c>
      <c r="E5" s="69">
        <f>(2+4)/2</f>
        <v>3</v>
      </c>
      <c r="F5" s="69">
        <f>(5+6)/2</f>
        <v>5.5</v>
      </c>
      <c r="G5" s="69">
        <f>(1+3)/2</f>
        <v>2</v>
      </c>
      <c r="H5" s="69">
        <f>(6+8)/2</f>
        <v>7</v>
      </c>
      <c r="I5" s="69">
        <f>(5+7)/2</f>
        <v>6</v>
      </c>
      <c r="J5" s="66">
        <f t="shared" si="0"/>
        <v>29</v>
      </c>
    </row>
    <row r="6" spans="1:10" ht="46.5">
      <c r="A6" s="37">
        <v>2</v>
      </c>
      <c r="B6" s="21" t="s">
        <v>26</v>
      </c>
      <c r="C6" s="32" t="s">
        <v>28</v>
      </c>
      <c r="D6" s="66">
        <f>(6.5+3+7+5)/4</f>
        <v>5.375</v>
      </c>
      <c r="E6" s="66">
        <f>(2+3+4+3)/4</f>
        <v>3</v>
      </c>
      <c r="F6" s="66">
        <f>(5+4+5+5)/4</f>
        <v>4.75</v>
      </c>
      <c r="G6" s="66">
        <f>(4+2+4+2)/4</f>
        <v>3</v>
      </c>
      <c r="H6" s="66">
        <f>(7+5+9+5)/4</f>
        <v>6.5</v>
      </c>
      <c r="I6" s="66">
        <f>(6.5+6+8+4)/4</f>
        <v>6.125</v>
      </c>
      <c r="J6" s="66">
        <f t="shared" si="0"/>
        <v>28.75</v>
      </c>
    </row>
    <row r="7" spans="1:10" ht="30.75" customHeight="1">
      <c r="A7" s="40"/>
      <c r="B7" s="28" t="s">
        <v>27</v>
      </c>
      <c r="C7" s="32" t="s">
        <v>29</v>
      </c>
      <c r="D7" s="66">
        <f>(6+2+5+7.5)/4</f>
        <v>5.125</v>
      </c>
      <c r="E7" s="66">
        <f>(2+2+3+3.5)/4</f>
        <v>2.625</v>
      </c>
      <c r="F7" s="66">
        <f>(5+4+5+7)/4</f>
        <v>5.25</v>
      </c>
      <c r="G7" s="66">
        <f>(3+2+3+4)/4</f>
        <v>3</v>
      </c>
      <c r="H7" s="66">
        <f>(6+6+9+7)/4</f>
        <v>7</v>
      </c>
      <c r="I7" s="66">
        <f>(6+6+8+7)/4</f>
        <v>6.75</v>
      </c>
      <c r="J7" s="66">
        <f t="shared" si="0"/>
        <v>29.75</v>
      </c>
    </row>
    <row r="8" spans="1:10" ht="30.75">
      <c r="A8" s="40"/>
      <c r="B8" s="27"/>
      <c r="C8" s="82" t="s">
        <v>30</v>
      </c>
      <c r="D8" s="83">
        <f>(6+7+9+6)/4</f>
        <v>7</v>
      </c>
      <c r="E8" s="83">
        <f>(2+4+5+3)/4</f>
        <v>3.5</v>
      </c>
      <c r="F8" s="83">
        <f>(5+7+7+6)/4</f>
        <v>6.25</v>
      </c>
      <c r="G8" s="83">
        <f>(3.5+4+4+3)/4</f>
        <v>3.625</v>
      </c>
      <c r="H8" s="83">
        <f>(6+7+9+6)/4</f>
        <v>7</v>
      </c>
      <c r="I8" s="83">
        <f>(7+6+9+6)/4</f>
        <v>7</v>
      </c>
      <c r="J8" s="83">
        <f t="shared" si="0"/>
        <v>34.375</v>
      </c>
    </row>
    <row r="9" spans="1:10" ht="30.75">
      <c r="A9" s="41"/>
      <c r="B9" s="15"/>
      <c r="C9" s="33" t="s">
        <v>31</v>
      </c>
      <c r="D9" s="66">
        <f>(5+4+5+4.5)/4</f>
        <v>4.625</v>
      </c>
      <c r="E9" s="66">
        <f>(2+3+4+2.5)/4</f>
        <v>2.875</v>
      </c>
      <c r="F9" s="66">
        <f>(5+5+6+5)/4</f>
        <v>5.25</v>
      </c>
      <c r="G9" s="66">
        <f>(3.5+3+3+2.5)/4</f>
        <v>3</v>
      </c>
      <c r="H9" s="66">
        <f>(7+5+9+5)/4</f>
        <v>6.5</v>
      </c>
      <c r="I9" s="66">
        <f>(7+6+7+5)/4</f>
        <v>6.25</v>
      </c>
      <c r="J9" s="66">
        <f t="shared" si="0"/>
        <v>28.5</v>
      </c>
    </row>
    <row r="10" spans="1:10" ht="30.75">
      <c r="A10" s="37">
        <v>3</v>
      </c>
      <c r="B10" s="21" t="s">
        <v>32</v>
      </c>
      <c r="C10" s="9" t="s">
        <v>33</v>
      </c>
      <c r="D10" s="66">
        <f>(7+3+8+7)/4</f>
        <v>6.25</v>
      </c>
      <c r="E10" s="66">
        <f>(2+2+4+4)/4</f>
        <v>3</v>
      </c>
      <c r="F10" s="66">
        <f>(5+5+8+7)/4</f>
        <v>6.25</v>
      </c>
      <c r="G10" s="66">
        <f>(4+2+4+5)/4</f>
        <v>3.75</v>
      </c>
      <c r="H10" s="66">
        <f>(6+5+9+7)/4</f>
        <v>6.75</v>
      </c>
      <c r="I10" s="66">
        <f>(8+6+8+8)/4</f>
        <v>7.5</v>
      </c>
      <c r="J10" s="66">
        <f t="shared" si="0"/>
        <v>33.5</v>
      </c>
    </row>
    <row r="11" spans="1:10" ht="30.75">
      <c r="A11" s="40"/>
      <c r="B11" s="28" t="s">
        <v>27</v>
      </c>
      <c r="C11" s="9" t="s">
        <v>34</v>
      </c>
      <c r="D11" s="66">
        <f>(7+2+7+5)/4</f>
        <v>5.25</v>
      </c>
      <c r="E11" s="66">
        <f>(3+2+2+2.5)/4</f>
        <v>2.375</v>
      </c>
      <c r="F11" s="66">
        <f>(6+4+6+6)/4</f>
        <v>5.5</v>
      </c>
      <c r="G11" s="66">
        <f>(3.5+2+3+3)/4</f>
        <v>2.875</v>
      </c>
      <c r="H11" s="66">
        <f>(6+5+9+5.5)/4</f>
        <v>6.375</v>
      </c>
      <c r="I11" s="66">
        <f>(7.5+5+8+5.5)/4</f>
        <v>6.5</v>
      </c>
      <c r="J11" s="66">
        <f t="shared" si="0"/>
        <v>28.875</v>
      </c>
    </row>
    <row r="12" spans="1:10" ht="31.5" customHeight="1">
      <c r="A12" s="40"/>
      <c r="B12" s="27"/>
      <c r="C12" s="9" t="s">
        <v>35</v>
      </c>
      <c r="D12" s="66">
        <f>(6.5+4+6+5)/4</f>
        <v>5.375</v>
      </c>
      <c r="E12" s="66">
        <f>(2+2+2+2.5)/4</f>
        <v>2.125</v>
      </c>
      <c r="F12" s="66">
        <f>(4+3+6+5)/4</f>
        <v>4.5</v>
      </c>
      <c r="G12" s="66">
        <f>(3.5+1+3+3.5)/4</f>
        <v>2.75</v>
      </c>
      <c r="H12" s="66">
        <f>(6+4+9+5)/4</f>
        <v>6</v>
      </c>
      <c r="I12" s="66">
        <f>(6.5+5+8+5)/4</f>
        <v>6.125</v>
      </c>
      <c r="J12" s="66">
        <f t="shared" si="0"/>
        <v>26.875</v>
      </c>
    </row>
    <row r="13" spans="1:10" ht="46.5">
      <c r="A13" s="41"/>
      <c r="B13" s="15"/>
      <c r="C13" s="9" t="s">
        <v>36</v>
      </c>
      <c r="D13" s="66">
        <f>(5+2+6)/4</f>
        <v>3.25</v>
      </c>
      <c r="E13" s="66">
        <f>(3.5+2+3)/4</f>
        <v>2.125</v>
      </c>
      <c r="F13" s="66">
        <f>(4+4+6)/4</f>
        <v>3.5</v>
      </c>
      <c r="G13" s="66">
        <f>(3+1+3)/4</f>
        <v>1.75</v>
      </c>
      <c r="H13" s="66">
        <f>(6.5+5+9)/4</f>
        <v>5.125</v>
      </c>
      <c r="I13" s="66">
        <f>(7+5+8)/4</f>
        <v>5</v>
      </c>
      <c r="J13" s="66">
        <f t="shared" si="0"/>
        <v>20.75</v>
      </c>
    </row>
    <row r="14" spans="1:10" ht="30.75">
      <c r="A14" s="25">
        <v>4</v>
      </c>
      <c r="B14" s="25" t="s">
        <v>64</v>
      </c>
      <c r="C14" s="9" t="s">
        <v>65</v>
      </c>
      <c r="D14" s="66">
        <f>(6+3+5+7.5)/4</f>
        <v>5.375</v>
      </c>
      <c r="E14" s="66">
        <f>(4+2+5+5)/4</f>
        <v>4</v>
      </c>
      <c r="F14" s="66">
        <f>(4+4+5+7)/4</f>
        <v>5</v>
      </c>
      <c r="G14" s="66">
        <f>(3+1+3+4)/4</f>
        <v>2.75</v>
      </c>
      <c r="H14" s="66">
        <f>(6+6+8+7.5)/4</f>
        <v>6.875</v>
      </c>
      <c r="I14" s="66">
        <f>(6+5+7+7)/4</f>
        <v>6.25</v>
      </c>
      <c r="J14" s="66">
        <f t="shared" si="0"/>
        <v>30.25</v>
      </c>
    </row>
    <row r="15" spans="1:10" ht="30.75">
      <c r="A15" s="27"/>
      <c r="B15" s="28" t="s">
        <v>48</v>
      </c>
      <c r="C15" s="9" t="s">
        <v>66</v>
      </c>
      <c r="D15" s="66">
        <f>(6+3+6+7)/4</f>
        <v>5.5</v>
      </c>
      <c r="E15" s="66">
        <f>(2+2+2+3.5)/4</f>
        <v>2.375</v>
      </c>
      <c r="F15" s="66">
        <f>(5+4+4+7)/4</f>
        <v>5</v>
      </c>
      <c r="G15" s="66">
        <f>(3.5+2+3+4.5)/4</f>
        <v>3.25</v>
      </c>
      <c r="H15" s="66">
        <f>(6+5+8+7)/4</f>
        <v>6.5</v>
      </c>
      <c r="I15" s="66">
        <f>(7+5+7+6.5)/4</f>
        <v>6.375</v>
      </c>
      <c r="J15" s="66">
        <f t="shared" si="0"/>
        <v>29</v>
      </c>
    </row>
    <row r="16" spans="1:10" ht="30.75">
      <c r="A16" s="15"/>
      <c r="B16" s="15"/>
      <c r="C16" s="9" t="s">
        <v>67</v>
      </c>
      <c r="D16" s="66">
        <f>(6+4+6)/3</f>
        <v>5.333333333333333</v>
      </c>
      <c r="E16" s="66">
        <f>(2+2+2)/3</f>
        <v>2</v>
      </c>
      <c r="F16" s="66">
        <f>(4+5+4)/3</f>
        <v>4.333333333333333</v>
      </c>
      <c r="G16" s="66">
        <f>(3+2+3)/3</f>
        <v>2.6666666666666665</v>
      </c>
      <c r="H16" s="66">
        <f>(6+5+8)/3</f>
        <v>6.333333333333333</v>
      </c>
      <c r="I16" s="66">
        <f>(6+5+7)/3</f>
        <v>6</v>
      </c>
      <c r="J16" s="66">
        <f t="shared" si="0"/>
        <v>26.666666666666664</v>
      </c>
    </row>
    <row r="17" spans="1:10" ht="46.5">
      <c r="A17" s="25">
        <v>5</v>
      </c>
      <c r="B17" s="52" t="s">
        <v>99</v>
      </c>
      <c r="C17" s="53" t="s">
        <v>100</v>
      </c>
      <c r="D17" s="67">
        <f>(6+4+4+7)/4</f>
        <v>5.25</v>
      </c>
      <c r="E17" s="67">
        <f>(2+2+4+3.5)/4</f>
        <v>2.875</v>
      </c>
      <c r="F17" s="67">
        <f>(6+4+6+6.5)/4</f>
        <v>5.625</v>
      </c>
      <c r="G17" s="67">
        <f>(4+2+2+3.5)/4</f>
        <v>2.875</v>
      </c>
      <c r="H17" s="67">
        <f>(7+5+8+7)/4</f>
        <v>6.75</v>
      </c>
      <c r="I17" s="67">
        <f>(8+4+4+7)/4</f>
        <v>5.75</v>
      </c>
      <c r="J17" s="67">
        <f t="shared" si="0"/>
        <v>29.125</v>
      </c>
    </row>
    <row r="18" spans="1:10" ht="15">
      <c r="A18" s="15"/>
      <c r="B18" s="8" t="s">
        <v>27</v>
      </c>
      <c r="C18" s="15"/>
      <c r="D18" s="26"/>
      <c r="E18" s="26"/>
      <c r="F18" s="26"/>
      <c r="G18" s="26"/>
      <c r="H18" s="26"/>
      <c r="I18" s="26"/>
      <c r="J18" s="26"/>
    </row>
    <row r="19" spans="1:11" ht="15">
      <c r="A19" s="62"/>
      <c r="B19" s="58"/>
      <c r="C19" s="58"/>
      <c r="D19" s="59"/>
      <c r="E19" s="59"/>
      <c r="F19" s="59"/>
      <c r="G19" s="59"/>
      <c r="H19" s="59"/>
      <c r="I19" s="59"/>
      <c r="J19" s="59"/>
      <c r="K19" s="55"/>
    </row>
    <row r="20" spans="1:11" ht="15">
      <c r="A20" s="63"/>
      <c r="B20" s="60"/>
      <c r="C20" s="60"/>
      <c r="D20" s="61"/>
      <c r="E20" s="61"/>
      <c r="F20" s="61"/>
      <c r="G20" s="61"/>
      <c r="H20" s="61"/>
      <c r="I20" s="61"/>
      <c r="J20" s="61"/>
      <c r="K20" s="55"/>
    </row>
    <row r="21" spans="1:11" ht="15">
      <c r="A21" s="63"/>
      <c r="B21" s="60"/>
      <c r="C21" s="60"/>
      <c r="D21" s="61"/>
      <c r="E21" s="61"/>
      <c r="F21" s="61"/>
      <c r="G21" s="61"/>
      <c r="H21" s="61"/>
      <c r="I21" s="61"/>
      <c r="J21" s="61"/>
      <c r="K21" s="55"/>
    </row>
    <row r="22" spans="1:11" ht="15">
      <c r="A22" s="63"/>
      <c r="B22" s="60"/>
      <c r="C22" s="60"/>
      <c r="D22" s="61"/>
      <c r="E22" s="61"/>
      <c r="F22" s="61"/>
      <c r="G22" s="61"/>
      <c r="H22" s="61"/>
      <c r="I22" s="61"/>
      <c r="J22" s="61"/>
      <c r="K22" s="55"/>
    </row>
    <row r="23" spans="1:11" ht="15">
      <c r="A23" s="63"/>
      <c r="B23" s="60"/>
      <c r="C23" s="60"/>
      <c r="D23" s="61"/>
      <c r="E23" s="61"/>
      <c r="F23" s="61"/>
      <c r="G23" s="61"/>
      <c r="H23" s="61"/>
      <c r="I23" s="61"/>
      <c r="J23" s="61"/>
      <c r="K23" s="55"/>
    </row>
    <row r="24" spans="1:11" ht="15">
      <c r="A24" s="63"/>
      <c r="B24" s="60"/>
      <c r="C24" s="60"/>
      <c r="D24" s="61"/>
      <c r="E24" s="61"/>
      <c r="F24" s="61"/>
      <c r="G24" s="61"/>
      <c r="H24" s="61"/>
      <c r="I24" s="61"/>
      <c r="J24" s="61"/>
      <c r="K24" s="55"/>
    </row>
    <row r="25" spans="1:11" ht="15">
      <c r="A25" s="63"/>
      <c r="B25" s="60"/>
      <c r="C25" s="60"/>
      <c r="D25" s="61"/>
      <c r="E25" s="61"/>
      <c r="F25" s="61"/>
      <c r="G25" s="61"/>
      <c r="H25" s="61"/>
      <c r="I25" s="61"/>
      <c r="J25" s="61"/>
      <c r="K25" s="55"/>
    </row>
    <row r="26" spans="1:11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4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</sheetData>
  <sheetProtection/>
  <mergeCells count="1">
    <mergeCell ref="A2:A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C1">
      <selection activeCell="E13" sqref="E13"/>
    </sheetView>
  </sheetViews>
  <sheetFormatPr defaultColWidth="9.140625" defaultRowHeight="15"/>
  <cols>
    <col min="1" max="1" width="4.7109375" style="0" bestFit="1" customWidth="1"/>
    <col min="2" max="2" width="30.8515625" style="0" customWidth="1"/>
    <col min="3" max="3" width="38.28125" style="0" customWidth="1"/>
    <col min="4" max="4" width="17.57421875" style="0" customWidth="1"/>
    <col min="5" max="5" width="13.28125" style="0" customWidth="1"/>
    <col min="6" max="6" width="12.00390625" style="0" customWidth="1"/>
    <col min="7" max="7" width="11.00390625" style="0" customWidth="1"/>
    <col min="8" max="8" width="17.8515625" style="0" customWidth="1"/>
    <col min="9" max="9" width="11.57421875" style="0" customWidth="1"/>
    <col min="10" max="10" width="10.28125" style="0" customWidth="1"/>
  </cols>
  <sheetData>
    <row r="1" spans="1:10" ht="48.75" customHeight="1">
      <c r="A1" s="23" t="s">
        <v>2</v>
      </c>
      <c r="B1" s="19" t="s">
        <v>0</v>
      </c>
      <c r="C1" s="16" t="s">
        <v>1</v>
      </c>
      <c r="D1" s="17" t="s">
        <v>20</v>
      </c>
      <c r="E1" s="17" t="s">
        <v>7</v>
      </c>
      <c r="F1" s="17" t="s">
        <v>8</v>
      </c>
      <c r="G1" s="17" t="s">
        <v>9</v>
      </c>
      <c r="H1" s="17" t="s">
        <v>19</v>
      </c>
      <c r="I1" s="17" t="s">
        <v>10</v>
      </c>
      <c r="J1" s="18" t="s">
        <v>38</v>
      </c>
    </row>
    <row r="2" spans="1:10" ht="15">
      <c r="A2" s="103">
        <v>1</v>
      </c>
      <c r="B2" s="96" t="s">
        <v>37</v>
      </c>
      <c r="C2" s="90" t="s">
        <v>39</v>
      </c>
      <c r="D2" s="83">
        <f>(3+2+2+8)/4</f>
        <v>3.75</v>
      </c>
      <c r="E2" s="83">
        <f>(4+2+5+4.5)/4</f>
        <v>3.875</v>
      </c>
      <c r="F2" s="83">
        <f>(8+5+8+9)/4</f>
        <v>7.5</v>
      </c>
      <c r="G2" s="83">
        <f>(4+2+4+4)/4</f>
        <v>3.5</v>
      </c>
      <c r="H2" s="83">
        <f>(7+5+8+8.5)/4</f>
        <v>7.125</v>
      </c>
      <c r="I2" s="83">
        <f>(5+5+2+8.5)/4</f>
        <v>5.125</v>
      </c>
      <c r="J2" s="83">
        <f aca="true" t="shared" si="0" ref="J2:J7">SUM(D2:I2)</f>
        <v>30.875</v>
      </c>
    </row>
    <row r="3" spans="1:10" ht="30.75">
      <c r="A3" s="104"/>
      <c r="B3" s="28" t="s">
        <v>41</v>
      </c>
      <c r="C3" s="9" t="s">
        <v>40</v>
      </c>
      <c r="D3" s="66">
        <f>(3+4+2+6)/4</f>
        <v>3.75</v>
      </c>
      <c r="E3" s="66">
        <f>(4+3+3+4)/4</f>
        <v>3.5</v>
      </c>
      <c r="F3" s="66">
        <f>(8+5+6+8.5)/4</f>
        <v>6.875</v>
      </c>
      <c r="G3" s="66">
        <f>(3.5+2+4+3)/4</f>
        <v>3.125</v>
      </c>
      <c r="H3" s="66">
        <f>(7+6+8+7.5)/4</f>
        <v>7.125</v>
      </c>
      <c r="I3" s="66">
        <f>(6+5+2+7)/4</f>
        <v>5</v>
      </c>
      <c r="J3" s="66">
        <f t="shared" si="0"/>
        <v>29.375</v>
      </c>
    </row>
    <row r="4" spans="1:11" ht="32.25" customHeight="1">
      <c r="A4" s="105"/>
      <c r="B4" s="47"/>
      <c r="C4" s="95" t="s">
        <v>42</v>
      </c>
      <c r="D4" s="89">
        <f>(7+4+2+8)/4</f>
        <v>5.25</v>
      </c>
      <c r="E4" s="89">
        <f>(4+3+5+5)/4</f>
        <v>4.25</v>
      </c>
      <c r="F4" s="89">
        <f>(7+5+8+9.5)/4</f>
        <v>7.375</v>
      </c>
      <c r="G4" s="89">
        <f>(4+2+4+5)/4</f>
        <v>3.75</v>
      </c>
      <c r="H4" s="89">
        <f>(7+6+8+9.5)/4</f>
        <v>7.625</v>
      </c>
      <c r="I4" s="89">
        <f>(7+5+2+8.5)/4</f>
        <v>5.625</v>
      </c>
      <c r="J4" s="89">
        <f t="shared" si="0"/>
        <v>33.875</v>
      </c>
      <c r="K4" t="s">
        <v>110</v>
      </c>
    </row>
    <row r="5" spans="1:10" ht="30.75">
      <c r="A5" s="101">
        <v>2</v>
      </c>
      <c r="B5" s="21" t="s">
        <v>87</v>
      </c>
      <c r="C5" s="64" t="s">
        <v>89</v>
      </c>
      <c r="D5" s="66">
        <f>(6+4+5)/3</f>
        <v>5</v>
      </c>
      <c r="E5" s="66">
        <f>(4+3+3.5)/3</f>
        <v>3.5</v>
      </c>
      <c r="F5" s="66">
        <f>(5+6+5)/3</f>
        <v>5.333333333333333</v>
      </c>
      <c r="G5" s="66">
        <f>(3+2+2.5)/3</f>
        <v>2.5</v>
      </c>
      <c r="H5" s="66">
        <f>(6+6+6)/3</f>
        <v>6</v>
      </c>
      <c r="I5" s="66">
        <f>(6+5+5)/3</f>
        <v>5.333333333333333</v>
      </c>
      <c r="J5" s="66">
        <f t="shared" si="0"/>
        <v>27.666666666666664</v>
      </c>
    </row>
    <row r="6" spans="1:10" ht="46.5">
      <c r="A6" s="102"/>
      <c r="B6" s="29" t="s">
        <v>88</v>
      </c>
      <c r="C6" s="9" t="s">
        <v>90</v>
      </c>
      <c r="D6" s="66">
        <f>(6+5.5+5)/3</f>
        <v>5.5</v>
      </c>
      <c r="E6" s="66">
        <f>(3+2+2.5)/3</f>
        <v>2.5</v>
      </c>
      <c r="F6" s="66">
        <f>(6.5+5.5+4.5)/3</f>
        <v>5.5</v>
      </c>
      <c r="G6" s="66">
        <f>(3.5+2+2)/3</f>
        <v>2.5</v>
      </c>
      <c r="H6" s="66">
        <f>(7+5+4)/3</f>
        <v>5.333333333333333</v>
      </c>
      <c r="I6" s="66">
        <f>(7+5+5)/3</f>
        <v>5.666666666666667</v>
      </c>
      <c r="J6" s="66">
        <f t="shared" si="0"/>
        <v>27</v>
      </c>
    </row>
    <row r="7" spans="1:10" ht="15">
      <c r="A7" s="49">
        <v>3</v>
      </c>
      <c r="B7" s="5" t="s">
        <v>91</v>
      </c>
      <c r="C7" s="14" t="s">
        <v>92</v>
      </c>
      <c r="D7" s="67">
        <f>(5+3+3.5)/3</f>
        <v>3.8333333333333335</v>
      </c>
      <c r="E7" s="67">
        <f>(3+2+2.5)/3</f>
        <v>2.5</v>
      </c>
      <c r="F7" s="67">
        <f>(6+5.5+5)/3</f>
        <v>5.5</v>
      </c>
      <c r="G7" s="67">
        <f>(3.5+2.5+2.5)/3</f>
        <v>2.8333333333333335</v>
      </c>
      <c r="H7" s="67">
        <f>(7+5+4)/3</f>
        <v>5.333333333333333</v>
      </c>
      <c r="I7" s="67">
        <f>(6+5+4)/3</f>
        <v>5</v>
      </c>
      <c r="J7" s="67">
        <f t="shared" si="0"/>
        <v>25</v>
      </c>
    </row>
    <row r="8" spans="1:10" ht="15">
      <c r="A8" s="56"/>
      <c r="B8" s="8" t="s">
        <v>93</v>
      </c>
      <c r="C8" s="15"/>
      <c r="D8" s="68"/>
      <c r="E8" s="68"/>
      <c r="F8" s="68"/>
      <c r="G8" s="68"/>
      <c r="H8" s="68"/>
      <c r="I8" s="68"/>
      <c r="J8" s="68"/>
    </row>
    <row r="9" spans="1:11" ht="15">
      <c r="A9" s="57"/>
      <c r="B9" s="58"/>
      <c r="C9" s="58"/>
      <c r="D9" s="59"/>
      <c r="E9" s="59"/>
      <c r="F9" s="59"/>
      <c r="G9" s="59"/>
      <c r="H9" s="59"/>
      <c r="I9" s="59"/>
      <c r="J9" s="59"/>
      <c r="K9" s="55"/>
    </row>
    <row r="10" spans="1:11" ht="15">
      <c r="A10" s="54"/>
      <c r="B10" s="60"/>
      <c r="C10" s="60"/>
      <c r="D10" s="61"/>
      <c r="E10" s="61"/>
      <c r="F10" s="61"/>
      <c r="G10" s="61"/>
      <c r="H10" s="61"/>
      <c r="I10" s="61"/>
      <c r="J10" s="61"/>
      <c r="K10" s="55"/>
    </row>
    <row r="11" spans="1:11" ht="15">
      <c r="A11" s="54"/>
      <c r="B11" s="60"/>
      <c r="C11" s="60"/>
      <c r="D11" s="61"/>
      <c r="E11" s="61"/>
      <c r="F11" s="61"/>
      <c r="G11" s="61"/>
      <c r="H11" s="61"/>
      <c r="I11" s="61"/>
      <c r="J11" s="61"/>
      <c r="K11" s="55"/>
    </row>
    <row r="12" spans="1:11" ht="15">
      <c r="A12" s="54"/>
      <c r="B12" s="60"/>
      <c r="C12" s="60"/>
      <c r="D12" s="61"/>
      <c r="E12" s="61"/>
      <c r="F12" s="61"/>
      <c r="G12" s="61"/>
      <c r="H12" s="61"/>
      <c r="I12" s="61"/>
      <c r="J12" s="61"/>
      <c r="K12" s="55"/>
    </row>
    <row r="13" spans="1:11" ht="14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2:11" ht="14.25"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2:11" ht="14.25"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2:11" ht="14.25">
      <c r="B16" s="55"/>
      <c r="C16" s="55"/>
      <c r="D16" s="55"/>
      <c r="E16" s="55"/>
      <c r="F16" s="55"/>
      <c r="G16" s="55"/>
      <c r="H16" s="55"/>
      <c r="I16" s="55"/>
      <c r="J16" s="55"/>
      <c r="K16" s="55"/>
    </row>
  </sheetData>
  <sheetProtection/>
  <mergeCells count="2">
    <mergeCell ref="A5:A6"/>
    <mergeCell ref="A2:A4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NSR1</cp:lastModifiedBy>
  <dcterms:created xsi:type="dcterms:W3CDTF">2017-12-09T11:48:11Z</dcterms:created>
  <dcterms:modified xsi:type="dcterms:W3CDTF">2019-02-20T10:47:08Z</dcterms:modified>
  <cp:category/>
  <cp:version/>
  <cp:contentType/>
  <cp:contentStatus/>
</cp:coreProperties>
</file>